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6381AB33-0837-46A7-B5A5-2DB27B80A2B2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I47" i="5"/>
  <c r="I46" i="5"/>
  <c r="G37" i="6"/>
  <c r="I82" i="4" s="1"/>
  <c r="E80" i="4"/>
  <c r="F14" i="6" l="1"/>
  <c r="G14" i="6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<sst xmlns="http://schemas.openxmlformats.org/spreadsheetml/2006/main" count="287" uniqueCount="202">
  <si>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</si>
  <si>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</si>
  <si>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</si>
  <si>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</si>
  <si>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</si>
  <si>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</si>
  <si>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</si>
  <si>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</si>
  <si>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</si>
  <si>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</si>
  <si>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</si>
  <si>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</si>
  <si>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</si>
  <si>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</si>
  <si>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</si>
  <si>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</si>
  <si>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</si>
  <si>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</si>
  <si>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</si>
  <si>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</si>
  <si>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</si>
  <si>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</si>
  <si>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</si>
  <si>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</si>
  <si>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</si>
  <si>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</si>
  <si>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</si>
  <si>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</si>
  <si>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</si>
  <si>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</si>
  <si>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</si>
  <si>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</si>
  <si>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</si>
  <si>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</si>
  <si>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</si>
  <si>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</si>
  <si>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</si>
  <si>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</si>
  <si>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</si>
  <si>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</si>
  <si>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</si>
  <si>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</si>
  <si>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</si>
  <si>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</si>
  <si>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</si>
  <si>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</si>
  <si>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</si>
  <si>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</si>
  <si>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</si>
  <si>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</si>
  <si>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</si>
  <si>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</si>
  <si>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</si>
  <si>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</si>
  <si>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</si>
  <si>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</si>
  <si>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</si>
  <si>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</si>
  <si>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</si>
  <si>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</si>
  <si>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</si>
  <si>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</si>
  <si>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</si>
  <si>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</si>
  <si>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</si>
  <si>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</si>
  <si>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</si>
  <si>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</si>
  <si>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</si>
  <si>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</si>
  <si>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</si>
  <si>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</si>
  <si>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</si>
  <si>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</si>
  <si>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</si>
  <si>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</si>
  <si>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</si>
  <si>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</si>
  <si>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</si>
  <si>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</si>
  <si>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</si>
  <si>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</si>
  <si>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</si>
  <si>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</si>
  <si>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</si>
  <si>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</si>
  <si>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</si>
  <si>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</si>
  <si>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</si>
  <si>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</si>
  <si>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</si>
  <si>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</si>
  <si>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</si>
  <si>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</si>
  <si>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</si>
  <si>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</si>
  <si>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</si>
  <si>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</si>
  <si>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</si>
  <si>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</si>
  <si>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</si>
  <si>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</si>
  <si>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</si>
  <si>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</si>
  <si>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</si>
  <si>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</si>
  <si>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</si>
  <si>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</si>
  <si>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</si>
  <si>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</si>
  <si>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</si>
  <si>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</si>
  <si>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</si>
  <si>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</si>
  <si>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</si>
  <si>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</si>
  <si>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</si>
  <si>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</si>
  <si>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</si>
  <si>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</si>
  <si>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</si>
  <si>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</si>
  <si>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</si>
  <si>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</si>
  <si>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</si>
  <si>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</si>
  <si>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</si>
  <si>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</si>
  <si>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</si>
  <si>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</si>
  <si>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</si>
  <si>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</si>
  <si>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</si>
  <si>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</si>
  <si>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</si>
  <si>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</si>
  <si>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</si>
  <si>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</si>
  <si>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</si>
  <si>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</si>
  <si>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</si>
  <si>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</si>
  <si>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</si>
  <si>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</si>
  <si>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</si>
  <si>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</si>
  <si>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</si>
  <si>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</si>
  <si>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</si>
  <si>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</si>
  <si>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</si>
  <si>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</si>
  <si>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</si>
  <si>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</si>
  <si>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</si>
  <si>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</si>
  <si>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</si>
  <si>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</si>
  <si>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</si>
  <si>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</si>
  <si>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</si>
  <si>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</si>
  <si>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</si>
  <si>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</si>
  <si>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</si>
  <si>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</si>
  <si>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</si>
  <si>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</si>
  <si>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</si>
  <si>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</si>
  <si>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</si>
  <si>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</si>
  <si>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</si>
  <si>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</si>
  <si>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</si>
  <si>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</si>
  <si>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</si>
  <si>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</si>
  <si>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</si>
  <si>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</si>
  <si>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</si>
  <si>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</si>
  <si>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</si>
  <si>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</si>
  <si>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</si>
  <si>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</si>
  <si>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</si>
  <si>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</si>
  <si>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</si>
  <si>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</si>
  <si>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</si>
  <si>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Forstinning</t>
  </si>
  <si>
    <t>Stand: 15.02.2023</t>
  </si>
  <si>
    <t>Die Gemeinde Forstinning setzt sich folgende Ziele:</t>
  </si>
  <si>
    <t>Aitersteinering</t>
  </si>
  <si>
    <t>Forstinning</t>
  </si>
  <si>
    <t>Herdweg</t>
  </si>
  <si>
    <t>Moos</t>
  </si>
  <si>
    <t>Niederried</t>
  </si>
  <si>
    <t>Schwaberwegen</t>
  </si>
  <si>
    <t>Sempt</t>
  </si>
  <si>
    <t>Wagmühle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</si>
</sst>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21144</c:v>
                </c:pt>
                <c:pt idx="1">
                  <c:v>19266.055469035789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23929.7</c:v>
                </c:pt>
                <c:pt idx="1">
                  <c:v>32071.439536238824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9601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35473</c:v>
                </c:pt>
                <c:pt idx="1">
                  <c:v>51337.495005274614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45074</c:v>
                </c:pt>
                <c:pt idx="1">
                  <c:v>51337.495005274614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5145.3599999999997</c:v>
                </c:pt>
                <c:pt idx="1">
                  <c:v>4182.4626768167336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4477.6399999999994</c:v>
                </c:pt>
                <c:pt idx="1">
                  <c:v>5022.6002070993864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305.24</c:v>
                </c:pt>
                <c:pt idx="1">
                  <c:v>208.95057648407533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9336.8286445012782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6949</c:v>
                </c:pt>
                <c:pt idx="1">
                  <c:v>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3076.24</c:v>
                </c:pt>
                <c:pt idx="1">
                  <c:v>11801.842104901472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10025.24</c:v>
                </c:pt>
                <c:pt idx="1">
                  <c:v>18750.842104901472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2360.3684209802941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12320.998801265907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51.337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45.074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14 %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51337.495005274614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51337.495005274614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51337.495005274614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21144</v>
      </c>
      <c r="E78" s="177">
        <f>LOOKUP('Basis-Annahmen'!E5,'Nachfrage &amp; Erzeugung'!D36:G36,'Nachfrage &amp; Erzeugung'!D38:G38)</f>
        <v>19266.055469035789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23929.7</v>
      </c>
      <c r="E79" s="177">
        <f>LOOKUP('Basis-Annahmen'!E5,'Nachfrage &amp; Erzeugung'!D36:G36,'Nachfrage &amp; Erzeugung'!D39:G39)</f>
        <v>32071.439536238824</v>
      </c>
      <c r="F79" s="175"/>
      <c r="G79" s="176" t="s">
        <v>55</v>
      </c>
      <c r="H79" s="177">
        <f>'Nachfrage &amp; Erzeugung'!C46</f>
        <v>9601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0</v>
      </c>
      <c r="E80" s="177">
        <f>LOOKUP('Basis-Annahmen'!E5,'Nachfrage &amp; Erzeugung'!D36:G36,'Nachfrage &amp; Erzeugung'!D40:G40)</f>
        <v>0</v>
      </c>
      <c r="F80" s="175"/>
      <c r="G80" s="176" t="str">
        <f>'Nachfrage &amp; Erzeugung'!B47</f>
        <v>Nicht erneuerbare Wärmeerzeugung</v>
      </c>
      <c r="H80" s="177">
        <f>MAX(0,H82-H79)</f>
        <v>35473</v>
      </c>
      <c r="I80" s="177">
        <f>MAX(0,I82-I79)</f>
        <v>51337.495005274614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45074</v>
      </c>
      <c r="E82" s="177">
        <f>LOOKUP('Basis-Annahmen'!E5,'Nachfrage &amp; Erzeugung'!D36:G36,'Nachfrage &amp; Erzeugung'!D37:G37)</f>
        <v>51337.495005274614</v>
      </c>
      <c r="F82" s="175"/>
      <c r="G82" s="176" t="s">
        <v>82</v>
      </c>
      <c r="H82" s="177">
        <f>'Nachfrage &amp; Erzeugung'!C37</f>
        <v>45074</v>
      </c>
      <c r="I82" s="177">
        <f>LOOKUP('Basis-Annahmen'!E5,'Nachfrage &amp; Erzeugung'!D36:G36,'Nachfrage &amp; Erzeugung'!D37:G37)</f>
        <v>51337.495005274614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0.13896026545845971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18.751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87 %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50 %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36000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19809.599999999999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170808.48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6949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6949</v>
      </c>
      <c r="G32" s="256"/>
      <c r="H32" s="248">
        <f>SUM(H27:H31)</f>
        <v>226618.08000000002</v>
      </c>
      <c r="I32" s="248"/>
      <c r="J32" s="245">
        <f>IF(H32&gt;0,F32/H32,0)</f>
        <v>3.0663925843869119E-2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5145.3599999999997</v>
      </c>
      <c r="E76" s="186">
        <f>LOOKUP('Basis-Annahmen'!E5,'Nachfrage &amp; Erzeugung'!D9:G9,'Nachfrage &amp; Erzeugung'!D11:G11)</f>
        <v>4182.4626768167336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4477.6399999999994</v>
      </c>
      <c r="E77" s="186">
        <f>LOOKUP('Basis-Annahmen'!E5,'Nachfrage &amp; Erzeugung'!D9:G9,'Nachfrage &amp; Erzeugung'!D12:G12)</f>
        <v>5022.6002070993864</v>
      </c>
      <c r="F77" s="175"/>
      <c r="G77" s="176" t="s">
        <v>103</v>
      </c>
      <c r="H77" s="186">
        <f>'Nachfrage &amp; Erzeugung'!C21</f>
        <v>6949</v>
      </c>
      <c r="I77" s="186">
        <f>F31</f>
        <v>6949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305.24</v>
      </c>
      <c r="E78" s="186">
        <f>LOOKUP('Basis-Annahmen'!E5,'Nachfrage &amp; Erzeugung'!D9:G9,'Nachfrage &amp; Erzeugung'!D13:G13)</f>
        <v>208.95057648407533</v>
      </c>
      <c r="F78" s="175"/>
      <c r="G78" s="176" t="str">
        <f>'Nachfrage &amp; Erzeugung'!B29</f>
        <v>Nicht aus lokalen EE gedeckter Strombedarf</v>
      </c>
      <c r="H78" s="186">
        <f>'Nachfrage &amp; Erzeugung'!C29</f>
        <v>3076.24</v>
      </c>
      <c r="I78" s="186">
        <f>MAX(0,E82-SUM(I79:I82)-I77)</f>
        <v>11801.842104901472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9336.8286445012782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10025.24</v>
      </c>
      <c r="E82" s="186">
        <f>LOOKUP('Basis-Annahmen'!E5,'Nachfrage &amp; Erzeugung'!D9:G9,'Nachfrage &amp; Erzeugung'!D10:G10)</f>
        <v>18750.842104901472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0.87036341323514177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0.49794183067973413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4300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11801.842104901472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2360.3684209802941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0.54892288860006844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51337.495005274614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12320.998801265907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2.865348558433932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3.78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14681.367222246201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3.4142714470340003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2360.3684209802941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12320.998801265907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7.7738515901060075E-3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2.1554770318021201E-2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3910</v>
      </c>
      <c r="F34" s="69">
        <v>4000</v>
      </c>
      <c r="G34" s="69">
        <v>4100</v>
      </c>
      <c r="H34" s="69">
        <v>4200</v>
      </c>
      <c r="I34" s="70">
        <v>4300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2.3017902813299233E-2</v>
      </c>
      <c r="G36" s="67">
        <f>(G34-F34)/F34</f>
        <v>2.5000000000000001E-2</v>
      </c>
      <c r="H36" s="67">
        <f>(H34-G34)/G34</f>
        <v>2.4390243902439025E-2</v>
      </c>
      <c r="I36" s="68">
        <f>(I34-H34)/H34</f>
        <v>2.3809523809523808E-2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46.552913509276195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0.72378516624040923</v>
      </c>
      <c r="F44" s="73">
        <f>E44*(1+(F13*(F43-E43)))</f>
        <v>0.72378516624040923</v>
      </c>
      <c r="G44" s="73">
        <f t="shared" ref="G44:I44" si="0">F44*(1+(G13*(G43-F43)))</f>
        <v>0.72378516624040923</v>
      </c>
      <c r="H44" s="73">
        <f t="shared" si="0"/>
        <v>0.72378516624040923</v>
      </c>
      <c r="I44" s="190">
        <f t="shared" si="0"/>
        <v>0.72378516624040923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2830</v>
      </c>
      <c r="F45" s="36">
        <f>F44*F34</f>
        <v>2895.140664961637</v>
      </c>
      <c r="G45" s="36">
        <f t="shared" ref="G45:I45" si="1">G44*G34</f>
        <v>2967.5191815856779</v>
      </c>
      <c r="H45" s="36">
        <f t="shared" si="1"/>
        <v>3039.8976982097188</v>
      </c>
      <c r="I45" s="74">
        <f t="shared" si="1"/>
        <v>3112.2762148337597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22</v>
      </c>
      <c r="F46" s="36">
        <f>F$45*F$14</f>
        <v>144.75703324808185</v>
      </c>
      <c r="G46" s="36">
        <f>G$45*G$14</f>
        <v>890.25575447570338</v>
      </c>
      <c r="H46" s="36">
        <f>H$45*H$14</f>
        <v>1823.9386189258312</v>
      </c>
      <c r="I46" s="74">
        <f>I$45*I$14</f>
        <v>3112.2762148337597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61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10025.24</v>
      </c>
      <c r="D10" s="94">
        <f>D11+D12+D13+D14+D15</f>
        <v>9927.4488121418472</v>
      </c>
      <c r="E10" s="94">
        <f>E11+E12+E13+E14+D15</f>
        <v>12116.201507324127</v>
      </c>
      <c r="F10" s="94">
        <f>F11+F12+F13+F14+D15</f>
        <v>14890.752410573634</v>
      </c>
      <c r="G10" s="95">
        <f>G11+G12+G13+G14+D15</f>
        <v>18750.842104901472</v>
      </c>
      <c r="H10" s="14"/>
    </row>
    <row r="11" spans="1:8" ht="19.5" customHeight="1" x14ac:dyDescent="0.2">
      <c r="B11" s="88" t="s">
        <v>6</v>
      </c>
      <c r="C11" s="96">
        <v>5145.3599999999997</v>
      </c>
      <c r="D11" s="97">
        <f>C11/'Basis-Annahmen'!E34*((1-'Basis-Annahmen'!F19)^(D9-C9))*'Basis-Annahmen'!F34</f>
        <v>4880.6779566363093</v>
      </c>
      <c r="E11" s="97">
        <f>D11/'Basis-Annahmen'!F34*((1-'Basis-Annahmen'!G19)^5)*'Basis-Annahmen'!G34</f>
        <v>4638.5812727284574</v>
      </c>
      <c r="F11" s="97">
        <f>E11/'Basis-Annahmen'!G34*((1-'Basis-Annahmen'!H19)^5)*'Basis-Annahmen'!H34</f>
        <v>4405.8707890925543</v>
      </c>
      <c r="G11" s="98">
        <f>F11/'Basis-Annahmen'!H34*((1-'Basis-Annahmen'!I19)^5)*'Basis-Annahmen'!I34</f>
        <v>4182.4626768167336</v>
      </c>
      <c r="H11" s="14"/>
    </row>
    <row r="12" spans="1:8" ht="19.5" customHeight="1" x14ac:dyDescent="0.2">
      <c r="B12" s="88" t="s">
        <v>104</v>
      </c>
      <c r="C12" s="96">
        <v>4477.6399999999994</v>
      </c>
      <c r="D12" s="97">
        <f>((1-'Basis-Annahmen'!F20)^(D9-C9))*((1+'Basis-Annahmen'!F9)^(D9-C9))*C12</f>
        <v>4350.3797817566228</v>
      </c>
      <c r="E12" s="97">
        <f>((1-'Basis-Annahmen'!G20)^5)*((1+'Basis-Annahmen'!G9)^5)*D12</f>
        <v>4563.8110056717824</v>
      </c>
      <c r="F12" s="97">
        <f>((1-'Basis-Annahmen'!H20)^5)*((1+'Basis-Annahmen'!H9)^5)*E12</f>
        <v>4787.713243527598</v>
      </c>
      <c r="G12" s="98">
        <f>((1-'Basis-Annahmen'!I20)^5)*((1+'Basis-Annahmen'!I9)^5)*F12</f>
        <v>5022.6002070993864</v>
      </c>
      <c r="H12" s="14"/>
    </row>
    <row r="13" spans="1:8" ht="19.5" customHeight="1" x14ac:dyDescent="0.2">
      <c r="B13" s="88" t="s">
        <v>7</v>
      </c>
      <c r="C13" s="96">
        <v>305.24</v>
      </c>
      <c r="D13" s="97">
        <f>C13*((1-'Basis-Annahmen'!F20)^(D9-C9))</f>
        <v>262.11997400466799</v>
      </c>
      <c r="E13" s="97">
        <f>D13*((1-'Basis-Annahmen'!G20)^5)</f>
        <v>243.04196549677681</v>
      </c>
      <c r="F13" s="97">
        <f>E13*((1-'Basis-Annahmen'!H20)^5)</f>
        <v>225.3525211759883</v>
      </c>
      <c r="G13" s="98">
        <f>F13*((1-'Basis-Annahmen'!I20)^5)</f>
        <v>208.95057648407533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434.27109974424559</v>
      </c>
      <c r="E14" s="97">
        <f>'Basis-Annahmen'!G46*'Basis-Annahmen'!G51+'Basis-Annahmen'!G47*'Basis-Annahmen'!G52</f>
        <v>2670.7672634271103</v>
      </c>
      <c r="F14" s="97">
        <f>'Basis-Annahmen'!H46*'Basis-Annahmen'!H51+'Basis-Annahmen'!H47*'Basis-Annahmen'!H52</f>
        <v>5471.8158567774935</v>
      </c>
      <c r="G14" s="98">
        <f>'Basis-Annahmen'!I46*'Basis-Annahmen'!I51+'Basis-Annahmen'!I47*'Basis-Annahmen'!I52</f>
        <v>9336.8286445012782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-9.7544984317734663E-3</v>
      </c>
      <c r="E16" s="101">
        <f>(E10-$C$10)/$C$10</f>
        <v>0.20856972075722152</v>
      </c>
      <c r="F16" s="101">
        <f t="shared" ref="F16" si="0">(F10-$C$10)/$C$10</f>
        <v>0.48532627753287044</v>
      </c>
      <c r="G16" s="102">
        <f>(G10-$C$10)/$C$10</f>
        <v>0.87036341323514177</v>
      </c>
      <c r="H16" s="14"/>
    </row>
    <row r="17" spans="1:10" ht="19.5" customHeight="1" x14ac:dyDescent="0.2">
      <c r="B17" s="89" t="s">
        <v>97</v>
      </c>
      <c r="C17" s="107"/>
      <c r="D17" s="104">
        <f>D14/D10</f>
        <v>4.3744481383082706E-2</v>
      </c>
      <c r="E17" s="104">
        <f>E14/E10</f>
        <v>0.2204294193863198</v>
      </c>
      <c r="F17" s="104">
        <f>F14/F10</f>
        <v>0.36746402773388825</v>
      </c>
      <c r="G17" s="105">
        <f>G14/G10</f>
        <v>0.49794183067973413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6949</v>
      </c>
      <c r="G21" s="111"/>
    </row>
    <row r="22" spans="1:10" s="14" customFormat="1" ht="19.5" customHeight="1" x14ac:dyDescent="0.2">
      <c r="B22" s="110" t="s">
        <v>14</v>
      </c>
      <c r="C22" s="122">
        <v>24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6925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0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3076.24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45074</v>
      </c>
      <c r="D37" s="94">
        <f>SUM(D38:D40)</f>
        <v>46505.660135510399</v>
      </c>
      <c r="E37" s="94">
        <f>SUM(E38:E40)</f>
        <v>48010.51124285275</v>
      </c>
      <c r="F37" s="94">
        <f t="shared" ref="F37:G37" si="1">SUM(F38:F40)</f>
        <v>49594.085169288643</v>
      </c>
      <c r="G37" s="95">
        <f t="shared" si="1"/>
        <v>51337.495005274614</v>
      </c>
      <c r="H37" s="14"/>
    </row>
    <row r="38" spans="1:8" ht="19.5" customHeight="1" x14ac:dyDescent="0.2">
      <c r="A38" s="14"/>
      <c r="B38" s="113" t="s">
        <v>6</v>
      </c>
      <c r="C38" s="96">
        <v>21144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20758.309111575643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20307.444144238303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19786.749806637046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19266.055469035789</v>
      </c>
      <c r="H38" s="14"/>
    </row>
    <row r="39" spans="1:8" ht="19.5" customHeight="1" x14ac:dyDescent="0.2">
      <c r="A39" s="14"/>
      <c r="B39" s="113" t="s">
        <v>104</v>
      </c>
      <c r="C39" s="96">
        <v>23929.7</v>
      </c>
      <c r="D39" s="97">
        <f>C39*((1-'Basis-Annahmen'!F$24)^(D36-C36))*((1+'Basis-Annahmen'!F$9)^(D36-C36))</f>
        <v>25747.351023934756</v>
      </c>
      <c r="E39" s="97">
        <f>((1-'Basis-Annahmen'!G$24)^5)*((1+'Basis-Annahmen'!G$9)^5)*'Nachfrage &amp; Erzeugung'!D39</f>
        <v>27703.067098614447</v>
      </c>
      <c r="F39" s="97">
        <f>((1-'Basis-Annahmen'!H$24)^5)*((1+'Basis-Annahmen'!H$9)^5)*'Nachfrage &amp; Erzeugung'!E39</f>
        <v>29807.335362651596</v>
      </c>
      <c r="G39" s="98">
        <f>((1-'Basis-Annahmen'!I$24)^5)*((1+'Basis-Annahmen'!I$9)^5)*'Nachfrage &amp; Erzeugung'!F39</f>
        <v>32071.439536238824</v>
      </c>
      <c r="H39" s="14"/>
    </row>
    <row r="40" spans="1:8" ht="19.5" customHeight="1" x14ac:dyDescent="0.2">
      <c r="A40" s="14"/>
      <c r="B40" s="113" t="s">
        <v>7</v>
      </c>
      <c r="C40" s="96">
        <v>0</v>
      </c>
      <c r="D40" s="97">
        <f>C40+(C40*'Basis-Annahmen'!F36)*((1-'Basis-Annahmen'!F24)^(D36-C36))</f>
        <v>0</v>
      </c>
      <c r="E40" s="97">
        <f>D40+(D40*'Basis-Annahmen'!G36)*((1-'Basis-Annahmen'!G24)^5)</f>
        <v>0</v>
      </c>
      <c r="F40" s="97">
        <f>E40+(E40*'Basis-Annahmen'!H36)*((1-'Basis-Annahmen'!H24)^5)</f>
        <v>0</v>
      </c>
      <c r="G40" s="98">
        <f>F40+(F40*'Basis-Annahmen'!I36)*((1-'Basis-Annahmen'!I24)^5)</f>
        <v>0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3.176243811311176E-2</v>
      </c>
      <c r="E42" s="104">
        <f>(E37-$C$37)/$C$37</f>
        <v>6.5148672024953405E-2</v>
      </c>
      <c r="F42" s="104">
        <f>(F37-$C$37)/$C$37</f>
        <v>0.10028142985509701</v>
      </c>
      <c r="G42" s="105">
        <f>(G37-$C$37)/$C$37</f>
        <v>0.13896026545845971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9601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35473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4.3903433347363359E-2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0.64941350490048699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4.8922494137454151E-3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0.12414641332451445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2.5092197302226765E-2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0.12073274808089311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2.2192732447437517E-2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9.6267211833323315E-3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0.99999999999999989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0.99999999999999989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36000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4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19809.599999999999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132064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170808.48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237.23400000000001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